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ерелік 2021" sheetId="1" r:id="rId1"/>
  </sheets>
  <definedNames>
    <definedName name="_FilterDatabase_0" localSheetId="0">'Перелік 2021'!$A$6:$HS$48</definedName>
    <definedName name="_xlnm__FilterDatabase" localSheetId="0">'Перелік 2021'!$A$6:$HS$48</definedName>
    <definedName name="_xlnm_Print_Area" localSheetId="0">'Перелік 2021'!$A$1:$O$50</definedName>
    <definedName name="_xlnm_Print_Titles" localSheetId="0">'Перелік 2021'!$5:$7</definedName>
    <definedName name="Excel_BuiltIn__FilterDatabase" localSheetId="0">'Перелік 2021'!$A$7:$HS$48</definedName>
    <definedName name="Excel_BuiltIn_Print_Area" localSheetId="0">'Перелік 2021'!$A$2:$O$44</definedName>
    <definedName name="Print_Area_0" localSheetId="0">'Перелік 2021'!$A$1:$O$50</definedName>
    <definedName name="Print_Titles_0" localSheetId="0">'Перелік 2021'!$5:$7</definedName>
    <definedName name="_xlnm.Print_Titles" localSheetId="0">'Перелік 2021'!$5:$7</definedName>
    <definedName name="_xlnm.Print_Area" localSheetId="0">'Перелік 2021'!$A$1:$O$50</definedName>
  </definedNames>
  <calcPr fullCalcOnLoad="1"/>
</workbook>
</file>

<file path=xl/sharedStrings.xml><?xml version="1.0" encoding="utf-8"?>
<sst xmlns="http://schemas.openxmlformats.org/spreadsheetml/2006/main" count="136" uniqueCount="115">
  <si>
    <t>Дод.1</t>
  </si>
  <si>
    <t xml:space="preserve">Оперативна інформація
щодо переліку інвестиційних програм та проектів регіонального розвитку, що можуть реалізуватися за рахунок коштів державного фонду регіонального розвитку в 2021 році по Тернопільській області </t>
  </si>
  <si>
    <t>станом на:  01.10.2021 року</t>
  </si>
  <si>
    <t>тис.грн.</t>
  </si>
  <si>
    <t>№ п/п</t>
  </si>
  <si>
    <t>Найменування інвестиційної програми і проектів регіонального розвитку та їх місцезнаходження, вид робіт для проектів будівництва</t>
  </si>
  <si>
    <t>Замовник</t>
  </si>
  <si>
    <t>Загальна сума договору (державний+ місцевий)</t>
  </si>
  <si>
    <t>Обсяг фінансування з Державного бюджету (заг.фонд)</t>
  </si>
  <si>
    <t>Надійшло коштів з Державного бюджету</t>
  </si>
  <si>
    <t>Касові видатки 
ДБ</t>
  </si>
  <si>
    <t>% виконання касових видатків ДБ</t>
  </si>
  <si>
    <t>Обсяг фінансування з місцевого бюджету</t>
  </si>
  <si>
    <t xml:space="preserve"> Бюджет з якого заплановано та здійснюється співфінансування </t>
  </si>
  <si>
    <t>Перераховано до бюджету</t>
  </si>
  <si>
    <t>Касові видатки 
МБ</t>
  </si>
  <si>
    <t>% виконання касових видатків МБ</t>
  </si>
  <si>
    <t>Примітка (рішення сесії, проблематика)</t>
  </si>
  <si>
    <t>Загальний фонд</t>
  </si>
  <si>
    <t>Спеціальний фонд</t>
  </si>
  <si>
    <t>Разом по області</t>
  </si>
  <si>
    <t>Нерозподілені кошти</t>
  </si>
  <si>
    <t xml:space="preserve"> </t>
  </si>
  <si>
    <t>Обласний бюджет</t>
  </si>
  <si>
    <t>Будівля Тернопільського обласного спеціалізованого будинку дитини по вул. Академіка Сахарова, 2, в м. Тернополі — реконструкція з влаштуванням шатрового даху</t>
  </si>
  <si>
    <t>Тернопіль-комунінвест (47740)</t>
  </si>
  <si>
    <t>Тернопільський обласний бюджет</t>
  </si>
  <si>
    <t>Розп. КМУ від 12.04.21 №297-р перехідний</t>
  </si>
  <si>
    <t>Обласна фізіотерапевтична лікарня реабілітації в с. Більче-Золоте Борщівського району — нове будівництво спального корпусу на 50 осіб для учасників антитерористичної операції із їдальнею та теплим переходом з частковою реконструкцією існуючого корпусу</t>
  </si>
  <si>
    <t>Тернопільський обласний краєзнавчий музей на пл. Героїв Євромайдану, 3, у м. Тернополі — реконструкція існуючої будівлі (проект термомодернізації будівлі)</t>
  </si>
  <si>
    <t>Бережанський район</t>
  </si>
  <si>
    <t>Спортивний комплекс по вул. І. Франка, 8, у м. Бережанах — будівництво</t>
  </si>
  <si>
    <t>УКБ ТОДА (13696)</t>
  </si>
  <si>
    <t>Бережанська міська ТГ</t>
  </si>
  <si>
    <t>Розп. КМУ від 12.04.21 №297-р перехідний                                      Рішення Бережанської міської ради від 21.12.2020 р. №40</t>
  </si>
  <si>
    <t>Борщівський район</t>
  </si>
  <si>
    <t>Очисні споруди каналізації господарсько-побутових стоків по вул. Нічлава у м. Борщеві — будівництво</t>
  </si>
  <si>
    <t>КП "Борщівський комунальник"  (158986)</t>
  </si>
  <si>
    <t>Бюджет Борщівської ТГ</t>
  </si>
  <si>
    <t>Розп. КМУ від 12.04.21 №297-р          новий                                                  Рішення сесії№55 від 24.12.2020 та №266 від 09.02.2021</t>
  </si>
  <si>
    <t>Борщівська центральна комунальна районна лікарня по вул. С. Бандери, 108, у м. Борщові — капітальний ремонт будівель (утеплення фасадів, заміна вікон)</t>
  </si>
  <si>
    <t xml:space="preserve">Розп. КМУ від 12.04.21 №297-р    перехідний                                        Рішення сесії№55 від 24.12.2020 </t>
  </si>
  <si>
    <t>Бучацький район</t>
  </si>
  <si>
    <t>Сільський стадіон по вул. Горішній в с. Трибухівці Бучацького району — будівництво</t>
  </si>
  <si>
    <t>Трибухівська сільська рада  (46425 )</t>
  </si>
  <si>
    <t>Трибухівська сілька тг</t>
  </si>
  <si>
    <t xml:space="preserve">Розп. КМУ від 12.04.21 №297-р     нов.   Рішення сесії № 138 від 19.02.2021       Рішення сесії № 395 від 23.06.2021 </t>
  </si>
  <si>
    <t>Гусятинський район</t>
  </si>
  <si>
    <t>Гусятинський ясла-сад “Дзвіночок” по вул. Шевченка, 35, у смт Гусятин Чортківського району — капітальний ремонт (утеплення фасаду)</t>
  </si>
  <si>
    <t>Бюджет Гусятинської тг</t>
  </si>
  <si>
    <t>Розп. КМУ від 12.04.21 №297-р           новий                                                  рішення сесії № 268 від 15.02.2021</t>
  </si>
  <si>
    <t>Навчальний корпус № 2 державного навчального закладу “Хоростківський професійний сільськогосподарський ліцей” у м. Хоросткові — капітальний ремонт із заходами енергозбереження та енергоефективності</t>
  </si>
  <si>
    <t xml:space="preserve">Бюджет Хоростківської тг </t>
  </si>
  <si>
    <t>Розп. КМУ від 12.04.21 №297-р         новий                                                 рішення сесії № 202 від 29.01.2021</t>
  </si>
  <si>
    <r>
      <rPr>
        <sz val="12"/>
        <rFont val="Times New Roman"/>
        <family val="1"/>
      </rPr>
      <t xml:space="preserve">Навчально-виховний комплекс </t>
    </r>
    <r>
      <rPr>
        <sz val="12"/>
        <rFont val="Antiqua"/>
        <family val="0"/>
      </rPr>
      <t>“</t>
    </r>
    <r>
      <rPr>
        <sz val="12"/>
        <rFont val="Times New Roman"/>
        <family val="1"/>
      </rPr>
      <t>Загальноосвітня школа І—ІІІ ступенів № 2 — дошкільний навчальний закладˮ Хоростківської міської ради по вул. Незалежності, 17, в м. Хоросткові Гусятинського району — капітальний ремонт</t>
    </r>
  </si>
  <si>
    <t>Розп. КМУ від 12.04.21 №297-р     перехідний                                        рішення сесії № 268 від 15.02.2021</t>
  </si>
  <si>
    <t>Заліщицький район</t>
  </si>
  <si>
    <t>Очисні споруди по вул. Стефаника, 60д, у м. Заліщиках Заліщицького району — реконструкція</t>
  </si>
  <si>
    <t>КП "Заліщицький Водоканал" (95007)</t>
  </si>
  <si>
    <t>Заліщицький міський бюджет</t>
  </si>
  <si>
    <t>Розп. КМУ від 12.04.21 №297-р           новий                                               Рішення сесії Заліщицької міської ради №556 від 09.04.2021р.</t>
  </si>
  <si>
    <t>Товстенська районна комунальна лікарня по вул. Робітничій, 1, у смт Товсте Заліщицького району — капітальний ремонт водолікувального відділення”</t>
  </si>
  <si>
    <t>Товстенський селищний бюджет</t>
  </si>
  <si>
    <t>Розп. КМУ від 12.04.21 №297-р    перехідний                                           Рішення сесії Товстенської селищної ради №95 від 17.02.2021р.</t>
  </si>
  <si>
    <t>Козівський район</t>
  </si>
  <si>
    <t>Козівська загальноосвітня школа I—III ступеня № 1 по вул. Гвардійській, 9, в смт Козова (корпус старших класів) — енергозберігаючі заходи (капітальний ремонт частини перекриття; опорядження приміщень; капітальний ремонт системи опалення, водопостачання і водовідведення; утеплення фасадів)</t>
  </si>
  <si>
    <t>Козівська селищна рада</t>
  </si>
  <si>
    <t>Розп. КМУ від 12.04.21 №297-р    перехідний                                      Рішення сесії Козівської селищної ради №147 від 03.02.2021р.</t>
  </si>
  <si>
    <t>Кременецький район</t>
  </si>
  <si>
    <t>Філія “Старотаразька загальноосвітня школа І—ІІ ступенівˮ опорного закладу Почаївська загальноосвітня школа І—ІІІ ступеня Почаївської міської ради по вул. Шкільній, 2, в с. Старий Тараж Кременецького району — реконструкція</t>
  </si>
  <si>
    <t>КП ТОР "Наглядінвестбуд" (188882)</t>
  </si>
  <si>
    <t xml:space="preserve">Почаївська міська тг
</t>
  </si>
  <si>
    <t>Розп. КМУ від 12.04.21 №297-р       перехідний</t>
  </si>
  <si>
    <t>Лановецький район</t>
  </si>
  <si>
    <t>Лановецький зоологічний парк місцевого значення “Лановецький зооботсад” у м. Ланівцях — будівництво (організація території)</t>
  </si>
  <si>
    <t>Ланівці ТГ</t>
  </si>
  <si>
    <t>Розп. КМУ від 12.04.21 №297-р     перехідний</t>
  </si>
  <si>
    <t>Монастириський район</t>
  </si>
  <si>
    <t>Каналізаційна мережа у м. Монастириській — реконструкція</t>
  </si>
  <si>
    <t>Монастириська міська рада  (44827)</t>
  </si>
  <si>
    <t xml:space="preserve">бюджет  Монастириської міської ТГ </t>
  </si>
  <si>
    <t>Розп. КМУ від 12.04.21 №297-р     перехідний                                             Рішення сесії від 22.12.2020 №74 Рішення сесії від 25.01.2021 №131</t>
  </si>
  <si>
    <t>Теребовлянський район</t>
  </si>
  <si>
    <t>Теребовлянський дитячий ясла-садочок “Ромашка” загального розвитку по вул. Паращука, 16а, у м. Теребовлі — реконструкція з впровадженням енергозберігаючих заходів (влаштування шатрового даху, заміна віконних та дверних блоків, утеплення фасадів)</t>
  </si>
  <si>
    <t>Бюджет Теребовлянської тг</t>
  </si>
  <si>
    <t>Розп. КМУ від 12.04.21 №297-р      новий                                               Рішення сесії Теребовлянської м/р №564 від 26.02.21р.                                 Рішення сесії Теребовлянської м/р №1001 від 28.04.21р.</t>
  </si>
  <si>
    <t>Навчально-виховний комплекс “Боричівська загальноосвітня школа-сад I—II ступеня — дошкільного навчального закладу” по вул. Новій, 1, в с. Боричівка Теребовлянського району — реконструкція спортивних майданчиків з влаштуванням стадіону</t>
  </si>
  <si>
    <t>Відділ освіти Теребовлянської МР (96479)</t>
  </si>
  <si>
    <t>Розп. КМУ від 12.04.21 №297-р      перехідний                                        Рішення сесії Теребовлянської м/р №46 від 24.12.20р.                                  Рішення сесії Теребовлянської м/р №1195 від 31.05.21р.</t>
  </si>
  <si>
    <t>Тернопільський район</t>
  </si>
  <si>
    <t>Загальноосвітня школа І ступеня з дошкільним закладом по вул. Пасічній, 9, в с. Підгороднє Тернопільського району — будівництво</t>
  </si>
  <si>
    <t>Бюджет Підгородянської сільської територіальної громади</t>
  </si>
  <si>
    <t>Розп. КМУ від 12.04.21 №297-р      перехідний                                          Рішення сесії від 09.04.2021 №150</t>
  </si>
  <si>
    <t>Чортківський район</t>
  </si>
  <si>
    <t>Чортківська школа І—ІІІ ступеня № 7 Чортківської міської ради Тернопільської області по вул. Тараса Шевченка, 25, у м. Чорткові — нове будівництво мультифункціонального майданчика для занять ігровими видами спорту</t>
  </si>
  <si>
    <t>Упр.осв.,мол. та спорту Чортків м.р. (95816)</t>
  </si>
  <si>
    <t>Чортківської міської територіальної громади</t>
  </si>
  <si>
    <t>Розп. КМУ від 12.04.21 №297-р      новий                                                      Рішення сесії Чортківської міської ради  №431 від 27.05.2021</t>
  </si>
  <si>
    <t>Шумський район</t>
  </si>
  <si>
    <t>Комунальний дитячий оздоровчий заклад “Дивосвіт” у с. Кутянка Шумського району — реконструкція будівель із добудовою відпочинково-оздоровчої інфраструктури</t>
  </si>
  <si>
    <t>КДОЗ Дивосвіт (81269)</t>
  </si>
  <si>
    <t>Бюджет Шумської тг</t>
  </si>
  <si>
    <t>Розп. КМУ від 12.04.21 №297-р     перехідний                                      Рішення сесії Шумської міської ради від 24.12.2020 року №75.</t>
  </si>
  <si>
    <t>м.Тернопіль</t>
  </si>
  <si>
    <t>Гідротехнічні споруди веслувального каналу центру веслування та водних видів спорту з інфраструктурою “Водна арена Тернопіль” у м. Тернополі та на території Тернопільського району — будівництво</t>
  </si>
  <si>
    <t>бюджет м.Тернополя</t>
  </si>
  <si>
    <t>Розп. КМУ від 12.04.21 №297-р      перехідний                                       Рішення ТМР №8/4/12 від 05.03.2021</t>
  </si>
  <si>
    <t xml:space="preserve">Тернопільська спеціалізована школа 
І—ІІІ ступеня № 3 з поглибленим вивченням іноземних мов Тернопільської міської ради по вул. Грушевського, 3, у м. Тернополі — реконструкція спортивного майданчика
</t>
  </si>
  <si>
    <t>ТСШ І-ІІІ ступенів №3 ТМР (46087)</t>
  </si>
  <si>
    <t>Розп. КМУ від 12.04.21 №297-р      новий                                                 Рішення ВК ТМР №324 від 29.04.2021</t>
  </si>
  <si>
    <t>Дощовий колектор по вул. Галицькій у м. Тернополі — будівництво</t>
  </si>
  <si>
    <t>УЖКГБ та Е ТМР (48367)</t>
  </si>
  <si>
    <t xml:space="preserve">Розп. КМУ від 12.04.21 №297-р        новий                                                  </t>
  </si>
  <si>
    <t>Начальник управління</t>
  </si>
  <si>
    <t>Олег ВОЛЯК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</si>
</sst>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0"/>
    <numFmt numFmtId="165" formatCode="0.0"/>
    <numFmt numFmtId="166" formatCode="0.00000"/>
    <numFmt numFmtId="167" formatCode="#,##0.0"/>
  </numFmts>
  <fonts count="5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Antiqua"/>
      <family val="0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33" borderId="0" xfId="0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horizontal="righ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167" fontId="9" fillId="34" borderId="11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34" borderId="11" xfId="0" applyNumberFormat="1" applyFont="1" applyFill="1" applyBorder="1" applyAlignment="1">
      <alignment horizontal="center" vertical="center" wrapText="1"/>
    </xf>
    <xf numFmtId="164" fontId="8" fillId="34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10" fillId="34" borderId="11" xfId="0" applyNumberFormat="1" applyFont="1" applyFill="1" applyBorder="1" applyAlignment="1">
      <alignment horizontal="center" vertical="center" wrapText="1"/>
    </xf>
    <xf numFmtId="167" fontId="3" fillId="34" borderId="11" xfId="0" applyNumberFormat="1" applyFont="1" applyFill="1" applyBorder="1" applyAlignment="1">
      <alignment horizontal="center" vertical="center" wrapText="1"/>
    </xf>
    <xf numFmtId="167" fontId="10" fillId="0" borderId="11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/>
    </xf>
    <xf numFmtId="167" fontId="10" fillId="34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vertical="center"/>
    </xf>
    <xf numFmtId="0" fontId="8" fillId="34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67" fontId="8" fillId="0" borderId="11" xfId="0" applyNumberFormat="1" applyFont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7" fontId="8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vertical="center"/>
    </xf>
    <xf numFmtId="167" fontId="8" fillId="34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vertical="center"/>
    </xf>
    <xf numFmtId="167" fontId="8" fillId="34" borderId="0" xfId="0" applyNumberFormat="1" applyFont="1" applyFill="1" applyAlignment="1">
      <alignment horizontal="center" vertical="center"/>
    </xf>
    <xf numFmtId="167" fontId="12" fillId="34" borderId="11" xfId="0" applyNumberFormat="1" applyFont="1" applyFill="1" applyBorder="1" applyAlignment="1">
      <alignment horizontal="center" vertical="center"/>
    </xf>
    <xf numFmtId="167" fontId="12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center" vertical="center" wrapText="1"/>
    </xf>
    <xf numFmtId="167" fontId="9" fillId="34" borderId="11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167" fontId="12" fillId="34" borderId="13" xfId="0" applyNumberFormat="1" applyFont="1" applyFill="1" applyBorder="1" applyAlignment="1">
      <alignment horizontal="center" vertical="center"/>
    </xf>
    <xf numFmtId="167" fontId="14" fillId="0" borderId="11" xfId="0" applyNumberFormat="1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167" fontId="14" fillId="34" borderId="11" xfId="0" applyNumberFormat="1" applyFont="1" applyFill="1" applyBorder="1" applyAlignment="1">
      <alignment horizontal="center" vertical="center"/>
    </xf>
    <xf numFmtId="167" fontId="14" fillId="34" borderId="14" xfId="0" applyNumberFormat="1" applyFont="1" applyFill="1" applyBorder="1" applyAlignment="1">
      <alignment horizontal="center" vertical="center" wrapText="1"/>
    </xf>
    <xf numFmtId="167" fontId="0" fillId="34" borderId="11" xfId="0" applyNumberFormat="1" applyFill="1" applyBorder="1" applyAlignment="1">
      <alignment/>
    </xf>
    <xf numFmtId="167" fontId="14" fillId="34" borderId="11" xfId="0" applyNumberFormat="1" applyFont="1" applyFill="1" applyBorder="1" applyAlignment="1">
      <alignment horizontal="left" vertical="center" wrapText="1"/>
    </xf>
    <xf numFmtId="167" fontId="8" fillId="34" borderId="14" xfId="0" applyNumberFormat="1" applyFont="1" applyFill="1" applyBorder="1" applyAlignment="1">
      <alignment horizontal="center" vertical="center" wrapText="1"/>
    </xf>
    <xf numFmtId="167" fontId="9" fillId="34" borderId="15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167" fontId="12" fillId="34" borderId="11" xfId="0" applyNumberFormat="1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0" fontId="3" fillId="34" borderId="0" xfId="0" applyFont="1" applyFill="1" applyBorder="1" applyAlignment="1">
      <alignment horizontal="right" vertical="center" wrapText="1"/>
    </xf>
    <xf numFmtId="166" fontId="4" fillId="34" borderId="0" xfId="0" applyNumberFormat="1" applyFont="1" applyFill="1" applyBorder="1" applyAlignment="1">
      <alignment horizontal="center" vertical="center" wrapText="1"/>
    </xf>
    <xf numFmtId="165" fontId="4" fillId="34" borderId="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50"/>
  <sheetViews>
    <sheetView tabSelected="1" zoomScale="75" zoomScaleNormal="75" zoomScalePageLayoutView="0" workbookViewId="0" topLeftCell="A1">
      <selection activeCell="G13" sqref="G13"/>
    </sheetView>
  </sheetViews>
  <sheetFormatPr defaultColWidth="8.25390625" defaultRowHeight="12.75"/>
  <cols>
    <col min="1" max="1" width="5.125" style="1" customWidth="1"/>
    <col min="2" max="2" width="62.00390625" style="1" customWidth="1"/>
    <col min="3" max="3" width="17.375" style="1" customWidth="1"/>
    <col min="4" max="4" width="17.25390625" style="1" customWidth="1"/>
    <col min="5" max="5" width="18.625" style="2" customWidth="1"/>
    <col min="6" max="6" width="18.375" style="3" customWidth="1"/>
    <col min="7" max="7" width="18.25390625" style="4" customWidth="1"/>
    <col min="8" max="8" width="9.375" style="1" customWidth="1"/>
    <col min="9" max="9" width="13.125" style="5" customWidth="1"/>
    <col min="10" max="10" width="14.25390625" style="5" customWidth="1"/>
    <col min="11" max="11" width="22.875" style="1" customWidth="1"/>
    <col min="12" max="12" width="16.125" style="5" customWidth="1"/>
    <col min="13" max="13" width="13.375" style="5" customWidth="1"/>
    <col min="14" max="14" width="12.125" style="5" customWidth="1"/>
    <col min="15" max="15" width="39.875" style="6" customWidth="1"/>
    <col min="16" max="16" width="15.125" style="1" customWidth="1"/>
    <col min="17" max="18" width="8.25390625" style="1" customWidth="1"/>
    <col min="19" max="19" width="17.375" style="1" customWidth="1"/>
    <col min="20" max="16384" width="8.25390625" style="1" customWidth="1"/>
  </cols>
  <sheetData>
    <row r="1" spans="1:256" ht="12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5.2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/>
      <c r="Q2"/>
      <c r="R2" s="7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>
      <c r="A3" s="8"/>
      <c r="B3" s="83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8.5" customHeight="1">
      <c r="A4" s="9"/>
      <c r="B4" s="10"/>
      <c r="C4" s="10"/>
      <c r="D4" s="10"/>
      <c r="E4" s="10"/>
      <c r="F4" s="11"/>
      <c r="G4" s="12"/>
      <c r="H4" s="10"/>
      <c r="I4" s="10"/>
      <c r="J4" s="10"/>
      <c r="K4" s="10"/>
      <c r="L4" s="10"/>
      <c r="M4" s="10"/>
      <c r="N4" s="10"/>
      <c r="O4" s="13" t="s">
        <v>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5" s="15" customFormat="1" ht="41.25" customHeight="1">
      <c r="A5" s="84" t="s">
        <v>4</v>
      </c>
      <c r="B5" s="84" t="s">
        <v>5</v>
      </c>
      <c r="C5" s="84" t="s">
        <v>6</v>
      </c>
      <c r="D5" s="84" t="s">
        <v>7</v>
      </c>
      <c r="E5" s="85" t="s">
        <v>8</v>
      </c>
      <c r="F5" s="86" t="s">
        <v>9</v>
      </c>
      <c r="G5" s="87" t="s">
        <v>10</v>
      </c>
      <c r="H5" s="84" t="s">
        <v>11</v>
      </c>
      <c r="I5" s="84" t="s">
        <v>12</v>
      </c>
      <c r="J5" s="84"/>
      <c r="K5" s="84" t="s">
        <v>13</v>
      </c>
      <c r="L5" s="84" t="s">
        <v>14</v>
      </c>
      <c r="M5" s="84" t="s">
        <v>15</v>
      </c>
      <c r="N5" s="84" t="s">
        <v>16</v>
      </c>
      <c r="O5" s="84" t="s">
        <v>17</v>
      </c>
    </row>
    <row r="6" spans="1:256" ht="60.75" customHeight="1">
      <c r="A6" s="84"/>
      <c r="B6" s="84"/>
      <c r="C6" s="84"/>
      <c r="D6" s="84"/>
      <c r="E6" s="85"/>
      <c r="F6" s="86"/>
      <c r="G6" s="87"/>
      <c r="H6" s="84"/>
      <c r="I6" s="14" t="s">
        <v>18</v>
      </c>
      <c r="J6" s="16" t="s">
        <v>19</v>
      </c>
      <c r="K6" s="84"/>
      <c r="L6" s="84"/>
      <c r="M6" s="84"/>
      <c r="N6" s="84"/>
      <c r="O6" s="8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5" s="21" customFormat="1" ht="18.75">
      <c r="A7" s="17">
        <v>1</v>
      </c>
      <c r="B7" s="17">
        <v>2</v>
      </c>
      <c r="C7" s="17">
        <v>3</v>
      </c>
      <c r="D7" s="17"/>
      <c r="E7" s="18">
        <v>4</v>
      </c>
      <c r="F7" s="19">
        <v>6</v>
      </c>
      <c r="G7" s="20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</row>
    <row r="8" spans="1:15" s="28" customFormat="1" ht="18.75" customHeight="1">
      <c r="A8" s="88" t="s">
        <v>20</v>
      </c>
      <c r="B8" s="88"/>
      <c r="C8" s="23"/>
      <c r="D8" s="24">
        <f>D10+D14+D16+D19+D21+D25+D28+D30+D32+D34+D36+D39+D41+D43+D45</f>
        <v>190891.27428</v>
      </c>
      <c r="E8" s="24">
        <f>E10+E14+E16+E19+E21+E25+E28+E30+E32+E34+E36+E39+E41+E43+E45</f>
        <v>142170.138</v>
      </c>
      <c r="F8" s="25">
        <f>F10+F14+F16+F19+F21+F25+F28+F30+F32+F34+F36+F39+F41+F43+F45</f>
        <v>97939.42899999999</v>
      </c>
      <c r="G8" s="26">
        <f>G10+G14+G16+G19+G21+G25+G28+G30+G32+G34+G36+G39+G41+G43+G45</f>
        <v>72946.94252000001</v>
      </c>
      <c r="H8" s="24">
        <f>IF(F8=0,0,G8/F8*100)</f>
        <v>74.48169063758787</v>
      </c>
      <c r="I8" s="24">
        <f>I10+I14+I16+I19+I21+I25+I28+I30+I32+I34+I36+I39+I41+I43+I45</f>
        <v>35914.509</v>
      </c>
      <c r="J8" s="24">
        <f>J10+J14+J16+J19+J21+J25+J28+J30+J32+J34+J36+J39+J41+J43+J45</f>
        <v>31635.51</v>
      </c>
      <c r="K8" s="24"/>
      <c r="L8" s="24">
        <f>L10+L14+L16+L19+L21+L25+L28+L30+L32+L34+L36+L39+L41+L43+L45</f>
        <v>32077.044329999997</v>
      </c>
      <c r="M8" s="24">
        <f>M10+M14+M16+M19+M21+M25+M28+M30+M32+M34+M36+M39+M41+M43+M45</f>
        <v>26520.4107</v>
      </c>
      <c r="N8" s="24">
        <f aca="true" t="shared" si="0" ref="N8:N48">IF(L8=0,0,M8/L8*100)</f>
        <v>82.67722682665259</v>
      </c>
      <c r="O8" s="27"/>
    </row>
    <row r="9" spans="1:256" ht="18.75" customHeight="1">
      <c r="A9" s="89" t="s">
        <v>21</v>
      </c>
      <c r="B9" s="89"/>
      <c r="C9" s="89"/>
      <c r="D9" s="89"/>
      <c r="E9" s="89"/>
      <c r="F9" s="29"/>
      <c r="G9" s="30"/>
      <c r="H9" s="31"/>
      <c r="I9" s="32"/>
      <c r="J9" s="32"/>
      <c r="K9" s="32"/>
      <c r="L9" s="32"/>
      <c r="M9" s="32"/>
      <c r="N9" s="33">
        <f t="shared" si="0"/>
        <v>0</v>
      </c>
      <c r="O9" s="34"/>
      <c r="P9" t="s">
        <v>22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5" s="39" customFormat="1" ht="18.75" customHeight="1">
      <c r="A10" s="90" t="s">
        <v>23</v>
      </c>
      <c r="B10" s="90"/>
      <c r="C10" s="36"/>
      <c r="D10" s="37">
        <f>SUM(D11:D13)</f>
        <v>10027.73115</v>
      </c>
      <c r="E10" s="37">
        <f>SUM(E11:E13)</f>
        <v>8467.486</v>
      </c>
      <c r="F10" s="29">
        <f>SUM(F11:F13)</f>
        <v>3800</v>
      </c>
      <c r="G10" s="30">
        <f>SUM(G11:G13)</f>
        <v>1194.4545799999999</v>
      </c>
      <c r="H10" s="31">
        <f aca="true" t="shared" si="1" ref="H10:H48">IF(F10=0,0,G10/F10*100)</f>
        <v>31.43301526315789</v>
      </c>
      <c r="I10" s="32">
        <f>SUM(I11:I13)</f>
        <v>0</v>
      </c>
      <c r="J10" s="32">
        <f>SUM(J11:J13)</f>
        <v>3000</v>
      </c>
      <c r="K10" s="32"/>
      <c r="L10" s="32">
        <f>SUM(L11:L13)</f>
        <v>816.5</v>
      </c>
      <c r="M10" s="32">
        <f>SUM(M11:M13)</f>
        <v>452.59951</v>
      </c>
      <c r="N10" s="33">
        <f t="shared" si="0"/>
        <v>55.43166074709125</v>
      </c>
      <c r="O10" s="38"/>
    </row>
    <row r="11" spans="1:15" s="48" customFormat="1" ht="47.25">
      <c r="A11" s="16">
        <v>1</v>
      </c>
      <c r="B11" s="40" t="s">
        <v>24</v>
      </c>
      <c r="C11" s="41" t="s">
        <v>25</v>
      </c>
      <c r="D11" s="42">
        <v>4789.23115</v>
      </c>
      <c r="E11" s="43">
        <v>5080.486</v>
      </c>
      <c r="F11" s="44">
        <f>700+1000</f>
        <v>1700</v>
      </c>
      <c r="G11" s="45">
        <f>195.08027+4.62736+407.30121+10.06121</f>
        <v>617.07005</v>
      </c>
      <c r="H11" s="46">
        <f t="shared" si="1"/>
        <v>36.29823823529412</v>
      </c>
      <c r="I11" s="46"/>
      <c r="J11" s="46">
        <v>1000</v>
      </c>
      <c r="K11" s="46" t="s">
        <v>26</v>
      </c>
      <c r="L11" s="46">
        <v>235.7</v>
      </c>
      <c r="M11" s="46">
        <f>39.17709+81.87492</f>
        <v>121.05201</v>
      </c>
      <c r="N11" s="33">
        <f t="shared" si="0"/>
        <v>51.35851081883751</v>
      </c>
      <c r="O11" s="47" t="s">
        <v>27</v>
      </c>
    </row>
    <row r="12" spans="1:256" ht="78.75">
      <c r="A12" s="16">
        <v>2</v>
      </c>
      <c r="B12" s="40" t="s">
        <v>28</v>
      </c>
      <c r="C12" s="41" t="s">
        <v>25</v>
      </c>
      <c r="D12" s="42">
        <v>2910</v>
      </c>
      <c r="E12" s="43">
        <v>2000</v>
      </c>
      <c r="F12" s="44">
        <f>1049.078+450.922</f>
        <v>1500</v>
      </c>
      <c r="G12" s="45">
        <f>164.49873+213.0356+4.78875</f>
        <v>382.32307999999995</v>
      </c>
      <c r="H12" s="46">
        <f t="shared" si="1"/>
        <v>25.48820533333333</v>
      </c>
      <c r="I12" s="46"/>
      <c r="J12" s="46">
        <v>1000</v>
      </c>
      <c r="K12" s="46" t="s">
        <v>26</v>
      </c>
      <c r="L12" s="46">
        <v>290.8</v>
      </c>
      <c r="M12" s="46">
        <f>82.12606+108.74889</f>
        <v>190.87495</v>
      </c>
      <c r="N12" s="33">
        <f t="shared" si="0"/>
        <v>65.63787826685007</v>
      </c>
      <c r="O12" s="47" t="s">
        <v>27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7.25">
      <c r="A13" s="16">
        <v>3</v>
      </c>
      <c r="B13" s="40" t="s">
        <v>29</v>
      </c>
      <c r="C13" s="41" t="s">
        <v>25</v>
      </c>
      <c r="D13" s="42">
        <v>2328.5</v>
      </c>
      <c r="E13" s="43">
        <v>1387</v>
      </c>
      <c r="F13" s="44">
        <f>400+200</f>
        <v>600</v>
      </c>
      <c r="G13" s="45">
        <v>195.06145</v>
      </c>
      <c r="H13" s="46">
        <f t="shared" si="1"/>
        <v>32.510241666666666</v>
      </c>
      <c r="I13" s="49"/>
      <c r="J13" s="46">
        <v>1000</v>
      </c>
      <c r="K13" s="46" t="s">
        <v>26</v>
      </c>
      <c r="L13" s="46">
        <v>290</v>
      </c>
      <c r="M13" s="46">
        <v>140.67255</v>
      </c>
      <c r="N13" s="33">
        <f t="shared" si="0"/>
        <v>48.50777586206896</v>
      </c>
      <c r="O13" s="47" t="s">
        <v>27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5" s="52" customFormat="1" ht="18.75" customHeight="1">
      <c r="A14" s="90" t="s">
        <v>30</v>
      </c>
      <c r="B14" s="90"/>
      <c r="C14" s="50"/>
      <c r="D14" s="24">
        <f>D15</f>
        <v>24467.95762</v>
      </c>
      <c r="E14" s="33">
        <f>E15</f>
        <v>23046.084</v>
      </c>
      <c r="F14" s="25">
        <f>F15</f>
        <v>22829.321000000004</v>
      </c>
      <c r="G14" s="25">
        <f>G15</f>
        <v>18096.084160000002</v>
      </c>
      <c r="H14" s="24">
        <f t="shared" si="1"/>
        <v>79.26685230804718</v>
      </c>
      <c r="I14" s="24">
        <f>I15</f>
        <v>3500</v>
      </c>
      <c r="J14" s="24">
        <f>J15</f>
        <v>0</v>
      </c>
      <c r="K14" s="24"/>
      <c r="L14" s="24">
        <f>L15</f>
        <v>3500</v>
      </c>
      <c r="M14" s="24">
        <f>M15</f>
        <v>1955.42902</v>
      </c>
      <c r="N14" s="33">
        <f t="shared" si="0"/>
        <v>55.86940057142857</v>
      </c>
      <c r="O14" s="51"/>
    </row>
    <row r="15" spans="1:15" s="48" customFormat="1" ht="63">
      <c r="A15" s="16">
        <v>4</v>
      </c>
      <c r="B15" s="40" t="s">
        <v>31</v>
      </c>
      <c r="C15" s="41" t="s">
        <v>32</v>
      </c>
      <c r="D15" s="42">
        <v>24467.95762</v>
      </c>
      <c r="E15" s="43">
        <v>23046.084</v>
      </c>
      <c r="F15" s="44">
        <f>18107.758+4721.563</f>
        <v>22829.321000000004</v>
      </c>
      <c r="G15" s="45">
        <f>40+1944.995+6000+1498.88172+995.99957+19.47283+1450.53547+50.11541+1949.99833+37.95066+58.13501+4050.00016</f>
        <v>18096.084160000002</v>
      </c>
      <c r="H15" s="46">
        <f t="shared" si="1"/>
        <v>79.26685230804718</v>
      </c>
      <c r="I15" s="49">
        <v>3500</v>
      </c>
      <c r="J15" s="49"/>
      <c r="K15" s="46" t="s">
        <v>33</v>
      </c>
      <c r="L15" s="46">
        <v>3500</v>
      </c>
      <c r="M15" s="46">
        <v>1955.42902</v>
      </c>
      <c r="N15" s="33">
        <f t="shared" si="0"/>
        <v>55.86940057142857</v>
      </c>
      <c r="O15" s="47" t="s">
        <v>34</v>
      </c>
    </row>
    <row r="16" spans="1:15" s="52" customFormat="1" ht="18.75" customHeight="1">
      <c r="A16" s="90" t="s">
        <v>35</v>
      </c>
      <c r="B16" s="90"/>
      <c r="C16" s="50"/>
      <c r="D16" s="24">
        <f>D17+D18</f>
        <v>8631.4074</v>
      </c>
      <c r="E16" s="33">
        <f>E17+E18</f>
        <v>6028.702</v>
      </c>
      <c r="F16" s="25">
        <f>F17+F18</f>
        <v>2909.583</v>
      </c>
      <c r="G16" s="25">
        <f>G17+G18</f>
        <v>0</v>
      </c>
      <c r="H16" s="24">
        <f t="shared" si="1"/>
        <v>0</v>
      </c>
      <c r="I16" s="24">
        <f>J17+I18</f>
        <v>3403.495</v>
      </c>
      <c r="J16" s="24">
        <f>J17+J18</f>
        <v>2678.415</v>
      </c>
      <c r="K16" s="24"/>
      <c r="L16" s="24">
        <f>L17+L18</f>
        <v>725.08</v>
      </c>
      <c r="M16" s="24">
        <f>M17+M18</f>
        <v>0</v>
      </c>
      <c r="N16" s="33">
        <f t="shared" si="0"/>
        <v>0</v>
      </c>
      <c r="O16" s="51"/>
    </row>
    <row r="17" spans="1:15" s="48" customFormat="1" ht="63">
      <c r="A17" s="16">
        <v>5</v>
      </c>
      <c r="B17" s="40" t="s">
        <v>36</v>
      </c>
      <c r="C17" s="41" t="s">
        <v>37</v>
      </c>
      <c r="D17" s="42">
        <f>6451.5+97.8</f>
        <v>6549.3</v>
      </c>
      <c r="E17" s="43">
        <v>3870.922</v>
      </c>
      <c r="F17" s="44">
        <f>335.748+500+500+500</f>
        <v>1835.748</v>
      </c>
      <c r="G17" s="45"/>
      <c r="H17" s="46">
        <f t="shared" si="1"/>
        <v>0</v>
      </c>
      <c r="I17"/>
      <c r="J17" s="49">
        <v>2678.415</v>
      </c>
      <c r="K17" s="46" t="s">
        <v>38</v>
      </c>
      <c r="L17" s="46"/>
      <c r="M17" s="53"/>
      <c r="N17" s="33">
        <f t="shared" si="0"/>
        <v>0</v>
      </c>
      <c r="O17" s="47" t="s">
        <v>39</v>
      </c>
    </row>
    <row r="18" spans="1:256" ht="47.25">
      <c r="A18" s="16">
        <v>6</v>
      </c>
      <c r="B18" s="40" t="s">
        <v>40</v>
      </c>
      <c r="C18" s="41" t="s">
        <v>25</v>
      </c>
      <c r="D18" s="42">
        <v>2082.1074</v>
      </c>
      <c r="E18" s="43">
        <v>2157.78</v>
      </c>
      <c r="F18" s="44">
        <f>873.835+200</f>
        <v>1073.835</v>
      </c>
      <c r="G18" s="45"/>
      <c r="H18" s="46">
        <f t="shared" si="1"/>
        <v>0</v>
      </c>
      <c r="I18" s="49">
        <v>725.08</v>
      </c>
      <c r="J18" s="49"/>
      <c r="K18" s="46" t="s">
        <v>38</v>
      </c>
      <c r="L18" s="46">
        <v>725.08</v>
      </c>
      <c r="M18" s="46"/>
      <c r="N18" s="33">
        <f t="shared" si="0"/>
        <v>0</v>
      </c>
      <c r="O18" s="47" t="s">
        <v>41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6" s="52" customFormat="1" ht="18.75" customHeight="1">
      <c r="A19" s="90" t="s">
        <v>42</v>
      </c>
      <c r="B19" s="90"/>
      <c r="C19" s="50"/>
      <c r="D19" s="54">
        <f>D20</f>
        <v>11759.349999999999</v>
      </c>
      <c r="E19" s="55">
        <f>E20</f>
        <v>8654.815</v>
      </c>
      <c r="F19" s="56">
        <f>F20</f>
        <v>3783.462</v>
      </c>
      <c r="G19" s="56">
        <f>G20</f>
        <v>3305.0248</v>
      </c>
      <c r="H19" s="24">
        <f t="shared" si="1"/>
        <v>87.35451287735941</v>
      </c>
      <c r="I19" s="54">
        <f>I20</f>
        <v>0</v>
      </c>
      <c r="J19" s="54">
        <f>J20</f>
        <v>3654.245</v>
      </c>
      <c r="K19" s="24"/>
      <c r="L19" s="54">
        <f>L20</f>
        <v>2512.705</v>
      </c>
      <c r="M19" s="54">
        <f>M20</f>
        <v>2512.705</v>
      </c>
      <c r="N19" s="33">
        <f t="shared" si="0"/>
        <v>100</v>
      </c>
      <c r="O19" s="51"/>
      <c r="P19" s="48"/>
    </row>
    <row r="20" spans="1:16" s="48" customFormat="1" ht="47.25">
      <c r="A20" s="16">
        <v>7</v>
      </c>
      <c r="B20" s="40" t="s">
        <v>43</v>
      </c>
      <c r="C20" s="41" t="s">
        <v>44</v>
      </c>
      <c r="D20" s="57">
        <f>11701.05+52.47+5.83</f>
        <v>11759.349999999999</v>
      </c>
      <c r="E20" s="43">
        <v>8654.815</v>
      </c>
      <c r="F20" s="44">
        <f>3305.025+478.437</f>
        <v>3783.462</v>
      </c>
      <c r="G20" s="45">
        <f>1000+2285.7858+19.239</f>
        <v>3305.0248</v>
      </c>
      <c r="H20" s="46">
        <f t="shared" si="1"/>
        <v>87.35451287735941</v>
      </c>
      <c r="I20" s="49"/>
      <c r="J20" s="49">
        <v>3654.245</v>
      </c>
      <c r="K20" s="46" t="s">
        <v>45</v>
      </c>
      <c r="L20" s="49">
        <v>2512.705</v>
      </c>
      <c r="M20" s="49">
        <v>2512.705</v>
      </c>
      <c r="N20" s="33">
        <f t="shared" si="0"/>
        <v>100</v>
      </c>
      <c r="O20" s="47" t="s">
        <v>46</v>
      </c>
      <c r="P20" s="52"/>
    </row>
    <row r="21" spans="1:16" s="52" customFormat="1" ht="18.75" customHeight="1">
      <c r="A21" s="90" t="s">
        <v>47</v>
      </c>
      <c r="B21" s="90"/>
      <c r="C21" s="50"/>
      <c r="D21" s="58">
        <f>SUM(D22:D24)</f>
        <v>14152.391</v>
      </c>
      <c r="E21" s="59">
        <f>SUM(E22:E24)</f>
        <v>11400.060000000001</v>
      </c>
      <c r="F21" s="60">
        <f>F24+F22+F23</f>
        <v>6917.451</v>
      </c>
      <c r="G21" s="60">
        <f>G22+G23+G24</f>
        <v>5914.124779999999</v>
      </c>
      <c r="H21" s="24">
        <f t="shared" si="1"/>
        <v>85.49572349699332</v>
      </c>
      <c r="I21" s="59">
        <f>SUM(I22:I24)</f>
        <v>5023.054</v>
      </c>
      <c r="J21" s="59">
        <f>SUM(J22:J24)</f>
        <v>0</v>
      </c>
      <c r="K21" s="33"/>
      <c r="L21" s="24">
        <f>SUM(L22:L24)</f>
        <v>2751.939</v>
      </c>
      <c r="M21" s="24">
        <f>SUM(M22:M24)</f>
        <v>2485.11943</v>
      </c>
      <c r="N21" s="33">
        <f t="shared" si="0"/>
        <v>90.30430652714324</v>
      </c>
      <c r="O21" s="51"/>
      <c r="P21" s="48"/>
    </row>
    <row r="22" spans="1:256" ht="73.5" customHeight="1">
      <c r="A22" s="16">
        <v>8</v>
      </c>
      <c r="B22" s="61" t="s">
        <v>48</v>
      </c>
      <c r="C22" s="41" t="s">
        <v>32</v>
      </c>
      <c r="D22" s="42">
        <v>4858</v>
      </c>
      <c r="E22" s="43">
        <v>3000</v>
      </c>
      <c r="F22" s="44">
        <f>400+500</f>
        <v>900</v>
      </c>
      <c r="G22" s="44">
        <v>400</v>
      </c>
      <c r="H22" s="46">
        <f t="shared" si="1"/>
        <v>44.44444444444444</v>
      </c>
      <c r="I22" s="49">
        <v>2000</v>
      </c>
      <c r="J22" s="49">
        <v>0</v>
      </c>
      <c r="K22" s="46" t="s">
        <v>49</v>
      </c>
      <c r="L22" s="46">
        <v>1250</v>
      </c>
      <c r="M22" s="46">
        <v>996.78305</v>
      </c>
      <c r="N22" s="33">
        <f t="shared" si="0"/>
        <v>79.742644</v>
      </c>
      <c r="O22" s="47" t="s">
        <v>50</v>
      </c>
      <c r="P22" s="4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78.75" customHeight="1">
      <c r="A23" s="16">
        <v>9</v>
      </c>
      <c r="B23" s="61" t="s">
        <v>51</v>
      </c>
      <c r="C23" s="41" t="s">
        <v>32</v>
      </c>
      <c r="D23" s="57">
        <v>7675</v>
      </c>
      <c r="E23" s="43">
        <v>6582.609</v>
      </c>
      <c r="F23" s="44">
        <f>4062.697+500</f>
        <v>4562.697</v>
      </c>
      <c r="G23" s="44">
        <f>2158.75708+18.3224+599.406+3.94468+171.641+26.254+4.73084+1052.649+23.66585</f>
        <v>4059.37085</v>
      </c>
      <c r="H23" s="46">
        <f t="shared" si="1"/>
        <v>88.96867028426388</v>
      </c>
      <c r="I23" s="49">
        <v>2821.115</v>
      </c>
      <c r="J23" s="49">
        <v>0</v>
      </c>
      <c r="K23" s="46" t="s">
        <v>52</v>
      </c>
      <c r="L23" s="46">
        <v>1300</v>
      </c>
      <c r="M23" s="46">
        <v>1290.08743</v>
      </c>
      <c r="N23" s="33">
        <f t="shared" si="0"/>
        <v>99.23749461538462</v>
      </c>
      <c r="O23" s="47" t="s">
        <v>53</v>
      </c>
      <c r="P23" s="48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6" s="48" customFormat="1" ht="64.5" customHeight="1">
      <c r="A24" s="16">
        <v>10</v>
      </c>
      <c r="B24" s="62" t="s">
        <v>54</v>
      </c>
      <c r="C24" s="41" t="s">
        <v>32</v>
      </c>
      <c r="D24" s="42">
        <v>1619.391</v>
      </c>
      <c r="E24" s="43">
        <v>1817.451</v>
      </c>
      <c r="F24" s="44">
        <v>1454.754</v>
      </c>
      <c r="G24" s="45">
        <f>877.5+18.16403+15.1829+543.907</f>
        <v>1454.75393</v>
      </c>
      <c r="H24" s="46">
        <f t="shared" si="1"/>
        <v>99.9999951881899</v>
      </c>
      <c r="I24" s="49">
        <v>201.939</v>
      </c>
      <c r="J24" s="49">
        <v>0</v>
      </c>
      <c r="K24" s="46" t="s">
        <v>52</v>
      </c>
      <c r="L24" s="49">
        <v>201.939</v>
      </c>
      <c r="M24" s="46">
        <v>198.24895</v>
      </c>
      <c r="N24" s="33">
        <f t="shared" si="0"/>
        <v>98.17269076305222</v>
      </c>
      <c r="O24" s="47" t="s">
        <v>55</v>
      </c>
      <c r="P24" s="52"/>
    </row>
    <row r="25" spans="1:16" s="52" customFormat="1" ht="18.75" customHeight="1">
      <c r="A25" s="90" t="s">
        <v>56</v>
      </c>
      <c r="B25" s="90"/>
      <c r="C25" s="50"/>
      <c r="D25" s="54">
        <f>D27+D26</f>
        <v>5816.19999</v>
      </c>
      <c r="E25" s="55">
        <f>E27+E26</f>
        <v>5463.829</v>
      </c>
      <c r="F25" s="56">
        <f>F27+F26</f>
        <v>3963.8289999999997</v>
      </c>
      <c r="G25" s="56">
        <f>G27+G26</f>
        <v>500</v>
      </c>
      <c r="H25" s="24">
        <f t="shared" si="1"/>
        <v>12.61406584391002</v>
      </c>
      <c r="I25" s="55">
        <f>SUM(I26:I27)</f>
        <v>461.8</v>
      </c>
      <c r="J25" s="55">
        <f>SUM(I26:I27)</f>
        <v>461.8</v>
      </c>
      <c r="K25" s="55"/>
      <c r="L25" s="63">
        <f>SUM(K26:K27)</f>
        <v>0</v>
      </c>
      <c r="M25" s="63">
        <f>SUM(M26:M27)</f>
        <v>107.65</v>
      </c>
      <c r="N25" s="33">
        <f t="shared" si="0"/>
        <v>0</v>
      </c>
      <c r="O25" s="55"/>
      <c r="P25" s="48"/>
    </row>
    <row r="26" spans="1:256" ht="68.25" customHeight="1">
      <c r="A26" s="16">
        <v>11</v>
      </c>
      <c r="B26" s="61" t="s">
        <v>57</v>
      </c>
      <c r="C26" s="41" t="s">
        <v>58</v>
      </c>
      <c r="D26" s="42">
        <v>2225</v>
      </c>
      <c r="E26" s="64">
        <v>2000</v>
      </c>
      <c r="F26" s="65">
        <f>500+500+1000</f>
        <v>2000</v>
      </c>
      <c r="G26" s="56"/>
      <c r="H26" s="46">
        <f t="shared" si="1"/>
        <v>0</v>
      </c>
      <c r="I26" s="54"/>
      <c r="J26" s="66">
        <v>225</v>
      </c>
      <c r="K26" s="67" t="s">
        <v>59</v>
      </c>
      <c r="L26" s="68"/>
      <c r="M26" s="54"/>
      <c r="N26" s="24">
        <f t="shared" si="0"/>
        <v>0</v>
      </c>
      <c r="O26" s="69" t="s">
        <v>60</v>
      </c>
      <c r="P26" s="48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6" s="48" customFormat="1" ht="63">
      <c r="A27" s="16">
        <v>12</v>
      </c>
      <c r="B27" s="61" t="s">
        <v>61</v>
      </c>
      <c r="C27" s="41" t="s">
        <v>32</v>
      </c>
      <c r="D27" s="42">
        <v>3591.19999</v>
      </c>
      <c r="E27" s="43">
        <v>3463.829</v>
      </c>
      <c r="F27" s="44">
        <f>1463.829+500</f>
        <v>1963.829</v>
      </c>
      <c r="G27" s="45">
        <v>500</v>
      </c>
      <c r="H27" s="46">
        <f t="shared" si="1"/>
        <v>25.460465244173502</v>
      </c>
      <c r="I27" s="49">
        <v>461.8</v>
      </c>
      <c r="J27" s="49">
        <v>400</v>
      </c>
      <c r="K27" s="70" t="s">
        <v>62</v>
      </c>
      <c r="L27" s="49">
        <v>861.782</v>
      </c>
      <c r="M27" s="46">
        <v>107.65</v>
      </c>
      <c r="N27" s="24">
        <f t="shared" si="0"/>
        <v>12.49155818989025</v>
      </c>
      <c r="O27" s="61" t="s">
        <v>63</v>
      </c>
      <c r="P27" s="52"/>
    </row>
    <row r="28" spans="1:16" s="52" customFormat="1" ht="18.75" customHeight="1">
      <c r="A28" s="90" t="s">
        <v>64</v>
      </c>
      <c r="B28" s="90"/>
      <c r="C28" s="50"/>
      <c r="D28" s="54">
        <f>D29</f>
        <v>6106.833</v>
      </c>
      <c r="E28" s="55">
        <f>E29</f>
        <v>4299.939</v>
      </c>
      <c r="F28" s="56">
        <f>F29</f>
        <v>4299.939</v>
      </c>
      <c r="G28" s="56">
        <f>G29</f>
        <v>2186.35897</v>
      </c>
      <c r="H28" s="24">
        <f t="shared" si="1"/>
        <v>50.846278749535756</v>
      </c>
      <c r="I28" s="24">
        <f>I29</f>
        <v>2272.935</v>
      </c>
      <c r="J28" s="24">
        <f>J29</f>
        <v>0</v>
      </c>
      <c r="K28" s="24"/>
      <c r="L28" s="71">
        <f>L29</f>
        <v>2272.935</v>
      </c>
      <c r="M28" s="71">
        <f>M29</f>
        <v>275.48055</v>
      </c>
      <c r="N28" s="24">
        <f t="shared" si="0"/>
        <v>12.120036428670419</v>
      </c>
      <c r="O28" s="22"/>
      <c r="P28" s="48"/>
    </row>
    <row r="29" spans="1:15" s="48" customFormat="1" ht="94.5">
      <c r="A29" s="16">
        <v>13</v>
      </c>
      <c r="B29" s="40" t="s">
        <v>65</v>
      </c>
      <c r="C29" s="41" t="s">
        <v>32</v>
      </c>
      <c r="D29" s="42">
        <v>6106.833</v>
      </c>
      <c r="E29" s="43">
        <v>4299.939</v>
      </c>
      <c r="F29" s="44">
        <v>4299.939</v>
      </c>
      <c r="G29" s="45">
        <f>15.72947+777.6154+1389.1247+3.65773+0.23167</f>
        <v>2186.35897</v>
      </c>
      <c r="H29" s="46">
        <f t="shared" si="1"/>
        <v>50.846278749535756</v>
      </c>
      <c r="I29" s="49">
        <v>2272.935</v>
      </c>
      <c r="J29" s="49"/>
      <c r="K29" s="46" t="s">
        <v>66</v>
      </c>
      <c r="L29" s="46">
        <v>2272.935</v>
      </c>
      <c r="M29" s="46">
        <v>275.48055</v>
      </c>
      <c r="N29" s="24">
        <f t="shared" si="0"/>
        <v>12.120036428670419</v>
      </c>
      <c r="O29" s="61" t="s">
        <v>67</v>
      </c>
    </row>
    <row r="30" spans="1:16" s="52" customFormat="1" ht="18.75" customHeight="1">
      <c r="A30" s="90" t="s">
        <v>68</v>
      </c>
      <c r="B30" s="90"/>
      <c r="C30" s="50"/>
      <c r="D30" s="54">
        <f>D31</f>
        <v>8710.0076</v>
      </c>
      <c r="E30" s="55">
        <f>E31</f>
        <v>7767.815</v>
      </c>
      <c r="F30" s="56">
        <f>F31</f>
        <v>4146.647</v>
      </c>
      <c r="G30" s="56">
        <f>G31</f>
        <v>2047.7441800000001</v>
      </c>
      <c r="H30" s="24">
        <f t="shared" si="1"/>
        <v>49.3831324441169</v>
      </c>
      <c r="I30" s="24">
        <f>I31</f>
        <v>551</v>
      </c>
      <c r="J30" s="24">
        <f>J31</f>
        <v>420</v>
      </c>
      <c r="K30" s="24"/>
      <c r="L30" s="24">
        <f>L31</f>
        <v>971</v>
      </c>
      <c r="M30" s="24">
        <f>M31</f>
        <v>971</v>
      </c>
      <c r="N30" s="24">
        <f t="shared" si="0"/>
        <v>100</v>
      </c>
      <c r="O30" s="22"/>
      <c r="P30" s="48"/>
    </row>
    <row r="31" spans="1:16" s="48" customFormat="1" ht="63">
      <c r="A31" s="16">
        <v>14</v>
      </c>
      <c r="B31" s="40" t="s">
        <v>69</v>
      </c>
      <c r="C31" s="41" t="s">
        <v>70</v>
      </c>
      <c r="D31" s="42">
        <v>8710.0076</v>
      </c>
      <c r="E31" s="43">
        <v>7767.815</v>
      </c>
      <c r="F31" s="44">
        <f>2180.555+1966.092</f>
        <v>4146.647</v>
      </c>
      <c r="G31" s="45">
        <f>140.226+334.028+161.12591+604.12162+808.24265</f>
        <v>2047.7441800000001</v>
      </c>
      <c r="H31" s="46">
        <f t="shared" si="1"/>
        <v>49.3831324441169</v>
      </c>
      <c r="I31" s="49">
        <v>551</v>
      </c>
      <c r="J31" s="49">
        <v>420</v>
      </c>
      <c r="K31" s="46" t="s">
        <v>71</v>
      </c>
      <c r="L31" s="46">
        <v>971</v>
      </c>
      <c r="M31" s="46">
        <v>971</v>
      </c>
      <c r="N31" s="24">
        <f t="shared" si="0"/>
        <v>100</v>
      </c>
      <c r="O31" s="61" t="s">
        <v>72</v>
      </c>
      <c r="P31" s="52"/>
    </row>
    <row r="32" spans="1:227" s="74" customFormat="1" ht="18.75" customHeight="1">
      <c r="A32" s="90" t="s">
        <v>73</v>
      </c>
      <c r="B32" s="90"/>
      <c r="C32" s="72"/>
      <c r="D32" s="24">
        <f>D33</f>
        <v>3935.4097500000003</v>
      </c>
      <c r="E32" s="33">
        <f>E33</f>
        <v>2881.066</v>
      </c>
      <c r="F32" s="25">
        <f>F33</f>
        <v>2875.473</v>
      </c>
      <c r="G32" s="25">
        <f>G33</f>
        <v>2875.4729199999997</v>
      </c>
      <c r="H32" s="24">
        <f t="shared" si="1"/>
        <v>99.99999721784903</v>
      </c>
      <c r="I32" s="24">
        <f>I33</f>
        <v>1217</v>
      </c>
      <c r="J32" s="24">
        <f>J33</f>
        <v>0</v>
      </c>
      <c r="K32" s="24"/>
      <c r="L32" s="24">
        <f>L33</f>
        <v>1217</v>
      </c>
      <c r="M32" s="24">
        <f>M33</f>
        <v>1140.8073</v>
      </c>
      <c r="N32" s="24">
        <f t="shared" si="0"/>
        <v>93.73930156121611</v>
      </c>
      <c r="O32" s="35"/>
      <c r="P32" s="48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</row>
    <row r="33" spans="1:16" s="48" customFormat="1" ht="47.25">
      <c r="A33" s="16">
        <v>15</v>
      </c>
      <c r="B33" s="40" t="s">
        <v>74</v>
      </c>
      <c r="C33" s="41" t="s">
        <v>32</v>
      </c>
      <c r="D33" s="42">
        <f>3999.4-63.99025</f>
        <v>3935.4097500000003</v>
      </c>
      <c r="E33" s="43">
        <v>2881.066</v>
      </c>
      <c r="F33" s="44">
        <v>2875.473</v>
      </c>
      <c r="G33" s="45">
        <f>1278.009+1579.785+17.67892</f>
        <v>2875.4729199999997</v>
      </c>
      <c r="H33" s="46">
        <f t="shared" si="1"/>
        <v>99.99999721784903</v>
      </c>
      <c r="I33" s="49">
        <v>1217</v>
      </c>
      <c r="J33" s="49"/>
      <c r="K33" s="46" t="s">
        <v>75</v>
      </c>
      <c r="L33" s="49">
        <v>1217</v>
      </c>
      <c r="M33" s="46">
        <v>1140.8073</v>
      </c>
      <c r="N33" s="24">
        <f t="shared" si="0"/>
        <v>93.73930156121611</v>
      </c>
      <c r="O33" s="61" t="s">
        <v>76</v>
      </c>
      <c r="P33" s="74"/>
    </row>
    <row r="34" spans="1:16" s="52" customFormat="1" ht="18.75" customHeight="1">
      <c r="A34" s="90" t="s">
        <v>77</v>
      </c>
      <c r="B34" s="90"/>
      <c r="C34" s="50"/>
      <c r="D34" s="54">
        <f>D35</f>
        <v>8170.514</v>
      </c>
      <c r="E34" s="55">
        <f>E35</f>
        <v>5942.187</v>
      </c>
      <c r="F34" s="56">
        <f>F35</f>
        <v>2000</v>
      </c>
      <c r="G34" s="56">
        <f>G35</f>
        <v>0</v>
      </c>
      <c r="H34" s="24">
        <f t="shared" si="1"/>
        <v>0</v>
      </c>
      <c r="I34" s="54">
        <f>J35</f>
        <v>2961.459</v>
      </c>
      <c r="J34" s="54">
        <f>J35</f>
        <v>2961.459</v>
      </c>
      <c r="K34" s="54"/>
      <c r="L34" s="54">
        <f>L35</f>
        <v>0</v>
      </c>
      <c r="M34" s="54">
        <f>M35</f>
        <v>0</v>
      </c>
      <c r="N34" s="24">
        <f t="shared" si="0"/>
        <v>0</v>
      </c>
      <c r="O34" s="22"/>
      <c r="P34" s="48"/>
    </row>
    <row r="35" spans="1:15" s="48" customFormat="1" ht="63">
      <c r="A35" s="16">
        <v>16</v>
      </c>
      <c r="B35" s="40" t="s">
        <v>78</v>
      </c>
      <c r="C35" s="41" t="s">
        <v>79</v>
      </c>
      <c r="D35" s="42">
        <f>111+5942.187+2117.327</f>
        <v>8170.514</v>
      </c>
      <c r="E35" s="43">
        <v>5942.187</v>
      </c>
      <c r="F35" s="44">
        <f>1500+500</f>
        <v>2000</v>
      </c>
      <c r="G35" s="45"/>
      <c r="H35" s="46">
        <f t="shared" si="1"/>
        <v>0</v>
      </c>
      <c r="I35"/>
      <c r="J35" s="49">
        <v>2961.459</v>
      </c>
      <c r="K35" s="46" t="s">
        <v>80</v>
      </c>
      <c r="L35" s="46"/>
      <c r="M35" s="46"/>
      <c r="N35" s="24">
        <f t="shared" si="0"/>
        <v>0</v>
      </c>
      <c r="O35" s="61" t="s">
        <v>81</v>
      </c>
    </row>
    <row r="36" spans="1:16" s="52" customFormat="1" ht="18.75" customHeight="1">
      <c r="A36" s="90" t="s">
        <v>82</v>
      </c>
      <c r="B36" s="90"/>
      <c r="C36" s="50"/>
      <c r="D36" s="54">
        <f>SUM(D37:D38)</f>
        <v>9160.386</v>
      </c>
      <c r="E36" s="55">
        <f>SUM(E37:E38)</f>
        <v>9727.659</v>
      </c>
      <c r="F36" s="56">
        <f>SUM(F37:F38)</f>
        <v>8315.273</v>
      </c>
      <c r="G36" s="56">
        <f>SUM(G37:G38)</f>
        <v>5600</v>
      </c>
      <c r="H36" s="24">
        <f t="shared" si="1"/>
        <v>67.34595484718302</v>
      </c>
      <c r="I36" s="54">
        <f>SUM(I37:I38)</f>
        <v>378.6</v>
      </c>
      <c r="J36" s="54">
        <f>SUM(J37:J38)</f>
        <v>1913</v>
      </c>
      <c r="K36" s="54"/>
      <c r="L36" s="54">
        <f>SUM(L37:L38)</f>
        <v>1281.83313</v>
      </c>
      <c r="M36" s="54">
        <f>SUM(M37:M38)</f>
        <v>938.83313</v>
      </c>
      <c r="N36" s="24">
        <f t="shared" si="0"/>
        <v>73.24144680204981</v>
      </c>
      <c r="O36" s="22"/>
      <c r="P36" s="48"/>
    </row>
    <row r="37" spans="1:16" s="48" customFormat="1" ht="112.5" customHeight="1">
      <c r="A37" s="16">
        <v>17</v>
      </c>
      <c r="B37" s="40" t="s">
        <v>83</v>
      </c>
      <c r="C37" s="41" t="s">
        <v>32</v>
      </c>
      <c r="D37" s="42"/>
      <c r="E37" s="43">
        <v>1715.273</v>
      </c>
      <c r="F37" s="44">
        <f>1215.273+500</f>
        <v>1715.273</v>
      </c>
      <c r="G37" s="65"/>
      <c r="H37" s="46">
        <f t="shared" si="1"/>
        <v>0</v>
      </c>
      <c r="I37" s="66">
        <v>378.6</v>
      </c>
      <c r="J37" s="66">
        <v>765</v>
      </c>
      <c r="K37" s="46" t="s">
        <v>84</v>
      </c>
      <c r="L37" s="66">
        <v>343</v>
      </c>
      <c r="M37" s="66"/>
      <c r="N37" s="24">
        <f t="shared" si="0"/>
        <v>0</v>
      </c>
      <c r="O37" s="61" t="s">
        <v>85</v>
      </c>
      <c r="P37" s="52"/>
    </row>
    <row r="38" spans="1:256" ht="94.5">
      <c r="A38" s="16">
        <v>18</v>
      </c>
      <c r="B38" s="40" t="s">
        <v>86</v>
      </c>
      <c r="C38" s="41" t="s">
        <v>87</v>
      </c>
      <c r="D38" s="42">
        <f>9110.438+49.948</f>
        <v>9160.386</v>
      </c>
      <c r="E38" s="43">
        <v>8012.386</v>
      </c>
      <c r="F38" s="44">
        <f>5600+1000</f>
        <v>6600</v>
      </c>
      <c r="G38" s="45">
        <f>2403.715+2096.285+1100</f>
        <v>5600</v>
      </c>
      <c r="H38" s="46">
        <f t="shared" si="1"/>
        <v>84.84848484848484</v>
      </c>
      <c r="I38" s="49"/>
      <c r="J38" s="49">
        <v>1148</v>
      </c>
      <c r="K38" s="46" t="s">
        <v>84</v>
      </c>
      <c r="L38" s="66">
        <v>938.83313</v>
      </c>
      <c r="M38" s="66">
        <v>938.83313</v>
      </c>
      <c r="N38" s="24">
        <f t="shared" si="0"/>
        <v>100</v>
      </c>
      <c r="O38" s="61" t="s">
        <v>88</v>
      </c>
      <c r="P38" s="75">
        <v>949.77653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 customHeight="1">
      <c r="A39" s="90" t="s">
        <v>89</v>
      </c>
      <c r="B39" s="90"/>
      <c r="C39" s="41"/>
      <c r="D39" s="24">
        <f>D40</f>
        <v>12122.94477</v>
      </c>
      <c r="E39" s="33">
        <f>E40</f>
        <v>9592.665</v>
      </c>
      <c r="F39" s="25">
        <f>F40</f>
        <v>9569.978</v>
      </c>
      <c r="G39" s="25">
        <f>G40</f>
        <v>9569.97773</v>
      </c>
      <c r="H39" s="46">
        <f t="shared" si="1"/>
        <v>99.99999717867692</v>
      </c>
      <c r="I39" s="24">
        <f>I40</f>
        <v>3138.146</v>
      </c>
      <c r="J39" s="24">
        <f>J40</f>
        <v>0</v>
      </c>
      <c r="K39" s="24"/>
      <c r="L39" s="24">
        <f>L40</f>
        <v>3138.146</v>
      </c>
      <c r="M39" s="24">
        <f>M40</f>
        <v>2847.55012</v>
      </c>
      <c r="N39" s="24">
        <f t="shared" si="0"/>
        <v>90.73988654447561</v>
      </c>
      <c r="O39" s="6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78.75">
      <c r="A40" s="76">
        <v>19</v>
      </c>
      <c r="B40" s="40" t="s">
        <v>90</v>
      </c>
      <c r="C40" s="41" t="s">
        <v>32</v>
      </c>
      <c r="D40" s="42">
        <f>12401.796-278.85123</f>
        <v>12122.94477</v>
      </c>
      <c r="E40" s="43">
        <v>9592.665</v>
      </c>
      <c r="F40" s="44">
        <v>9569.978</v>
      </c>
      <c r="G40" s="44">
        <f>20+79.23797+718.00468+182.75735+20+625.94103+395.22396+816.29627+663.61718+2856.83757+3183.74351+8.31821</f>
        <v>9569.97773</v>
      </c>
      <c r="H40" s="46">
        <f t="shared" si="1"/>
        <v>99.99999717867692</v>
      </c>
      <c r="I40" s="49">
        <v>3138.146</v>
      </c>
      <c r="J40" s="49"/>
      <c r="K40" s="46" t="s">
        <v>91</v>
      </c>
      <c r="L40" s="49">
        <v>3138.146</v>
      </c>
      <c r="M40" s="46">
        <v>2847.55012</v>
      </c>
      <c r="N40" s="24">
        <f t="shared" si="0"/>
        <v>90.73988654447561</v>
      </c>
      <c r="O40" s="61" t="s">
        <v>92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6" s="52" customFormat="1" ht="18.75" customHeight="1">
      <c r="A41" s="90" t="s">
        <v>93</v>
      </c>
      <c r="B41" s="90"/>
      <c r="C41" s="50"/>
      <c r="D41" s="54">
        <f>D42</f>
        <v>7628.029</v>
      </c>
      <c r="E41" s="55">
        <f>E42</f>
        <v>5131.739</v>
      </c>
      <c r="F41" s="56">
        <f>F42</f>
        <v>1400</v>
      </c>
      <c r="G41" s="56">
        <f>G42</f>
        <v>1400</v>
      </c>
      <c r="H41" s="24">
        <f t="shared" si="1"/>
        <v>100</v>
      </c>
      <c r="I41" s="54">
        <f>J42</f>
        <v>2496.29</v>
      </c>
      <c r="J41" s="54">
        <f>J42</f>
        <v>2496.29</v>
      </c>
      <c r="K41" s="54"/>
      <c r="L41" s="54">
        <f>L42</f>
        <v>0</v>
      </c>
      <c r="M41" s="54">
        <f>M42</f>
        <v>0</v>
      </c>
      <c r="N41" s="24">
        <f t="shared" si="0"/>
        <v>0</v>
      </c>
      <c r="O41" s="77"/>
      <c r="P41" s="48"/>
    </row>
    <row r="42" spans="1:16" s="48" customFormat="1" ht="112.5" customHeight="1">
      <c r="A42" s="16">
        <v>20</v>
      </c>
      <c r="B42" s="40" t="s">
        <v>94</v>
      </c>
      <c r="C42" s="41" t="s">
        <v>95</v>
      </c>
      <c r="D42" s="42">
        <f>7578.529+49.5</f>
        <v>7628.029</v>
      </c>
      <c r="E42" s="43">
        <v>5131.739</v>
      </c>
      <c r="F42" s="44">
        <v>1400</v>
      </c>
      <c r="G42" s="45">
        <v>1400</v>
      </c>
      <c r="H42" s="46">
        <f t="shared" si="1"/>
        <v>100</v>
      </c>
      <c r="I42"/>
      <c r="J42" s="49">
        <v>2496.29</v>
      </c>
      <c r="K42" s="46" t="s">
        <v>96</v>
      </c>
      <c r="L42" s="46"/>
      <c r="M42" s="46"/>
      <c r="N42" s="24">
        <f t="shared" si="0"/>
        <v>0</v>
      </c>
      <c r="O42" s="61" t="s">
        <v>97</v>
      </c>
      <c r="P42" s="52"/>
    </row>
    <row r="43" spans="1:16" s="52" customFormat="1" ht="15.75">
      <c r="A43" s="35"/>
      <c r="B43" s="78" t="s">
        <v>98</v>
      </c>
      <c r="C43" s="50"/>
      <c r="D43" s="54">
        <f>D44</f>
        <v>3670</v>
      </c>
      <c r="E43" s="55">
        <f>E44</f>
        <v>3000</v>
      </c>
      <c r="F43" s="56">
        <f>F44</f>
        <v>400</v>
      </c>
      <c r="G43" s="56">
        <f>G44</f>
        <v>199.3084</v>
      </c>
      <c r="H43" s="24">
        <f t="shared" si="1"/>
        <v>49.8271</v>
      </c>
      <c r="I43" s="54">
        <f>I44</f>
        <v>0</v>
      </c>
      <c r="J43" s="54">
        <f>J44</f>
        <v>750</v>
      </c>
      <c r="K43" s="54"/>
      <c r="L43" s="54">
        <f>L44</f>
        <v>398.6996</v>
      </c>
      <c r="M43" s="54">
        <f>M44</f>
        <v>398.6996</v>
      </c>
      <c r="N43" s="24">
        <f t="shared" si="0"/>
        <v>100</v>
      </c>
      <c r="O43" s="22"/>
      <c r="P43" s="48"/>
    </row>
    <row r="44" spans="1:15" s="48" customFormat="1" ht="78" customHeight="1">
      <c r="A44" s="16">
        <v>21</v>
      </c>
      <c r="B44" s="40" t="s">
        <v>99</v>
      </c>
      <c r="C44" s="41" t="s">
        <v>100</v>
      </c>
      <c r="D44" s="42">
        <v>3670</v>
      </c>
      <c r="E44" s="43">
        <v>3000</v>
      </c>
      <c r="F44" s="44">
        <f>200+200</f>
        <v>400</v>
      </c>
      <c r="G44" s="45">
        <v>199.3084</v>
      </c>
      <c r="H44" s="46">
        <f t="shared" si="1"/>
        <v>49.8271</v>
      </c>
      <c r="I44" s="49"/>
      <c r="J44" s="49">
        <v>750</v>
      </c>
      <c r="K44" s="46" t="s">
        <v>101</v>
      </c>
      <c r="L44" s="46">
        <v>398.6996</v>
      </c>
      <c r="M44" s="46">
        <v>398.6996</v>
      </c>
      <c r="N44" s="24">
        <f t="shared" si="0"/>
        <v>100</v>
      </c>
      <c r="O44" s="61" t="s">
        <v>102</v>
      </c>
    </row>
    <row r="45" spans="1:16" ht="15.75">
      <c r="A45" s="35"/>
      <c r="B45" s="78" t="s">
        <v>103</v>
      </c>
      <c r="C45" s="41"/>
      <c r="D45" s="54">
        <f>SUM(D46:D48)</f>
        <v>56532.113</v>
      </c>
      <c r="E45" s="55">
        <f>SUM(E46:E48)</f>
        <v>30766.092</v>
      </c>
      <c r="F45" s="56">
        <f>SUM(F46:F48)</f>
        <v>20728.472999999998</v>
      </c>
      <c r="G45" s="56">
        <f>SUM(G46:G48)</f>
        <v>20058.392</v>
      </c>
      <c r="H45" s="24">
        <f t="shared" si="1"/>
        <v>96.767340266695</v>
      </c>
      <c r="I45" s="54">
        <f>I46+I47+I48</f>
        <v>10510.73</v>
      </c>
      <c r="J45" s="54">
        <f>J46+J47+J48</f>
        <v>13300.301</v>
      </c>
      <c r="K45" s="54"/>
      <c r="L45" s="54">
        <f>L46+L47+L48</f>
        <v>12491.2066</v>
      </c>
      <c r="M45" s="54">
        <f>M46+M47+M48</f>
        <v>12434.53704</v>
      </c>
      <c r="N45" s="24">
        <f t="shared" si="0"/>
        <v>99.54632437189855</v>
      </c>
      <c r="O45" s="61"/>
      <c r="P45"/>
    </row>
    <row r="46" spans="1:16" ht="63">
      <c r="A46" s="16">
        <v>22</v>
      </c>
      <c r="B46" s="40" t="s">
        <v>104</v>
      </c>
      <c r="C46" s="41" t="s">
        <v>32</v>
      </c>
      <c r="D46" s="42">
        <v>24299</v>
      </c>
      <c r="E46" s="43">
        <v>15766.092</v>
      </c>
      <c r="F46" s="44">
        <f>15000+766.092</f>
        <v>15766.092</v>
      </c>
      <c r="G46" s="45">
        <f>3000+7186.82204+4795.56186+0.24134+12.0979+728.06513+43.30373</f>
        <v>15766.092</v>
      </c>
      <c r="H46" s="46">
        <f t="shared" si="1"/>
        <v>100</v>
      </c>
      <c r="I46" s="49">
        <v>10510.73</v>
      </c>
      <c r="J46" s="46">
        <v>0</v>
      </c>
      <c r="K46" s="46" t="s">
        <v>105</v>
      </c>
      <c r="L46" s="46">
        <v>9677</v>
      </c>
      <c r="M46" s="46">
        <v>9658.03852</v>
      </c>
      <c r="N46" s="24">
        <f t="shared" si="0"/>
        <v>99.80405621576935</v>
      </c>
      <c r="O46" s="61" t="s">
        <v>106</v>
      </c>
      <c r="P46"/>
    </row>
    <row r="47" spans="1:16" ht="78.75">
      <c r="A47" s="16">
        <v>23</v>
      </c>
      <c r="B47" s="40" t="s">
        <v>107</v>
      </c>
      <c r="C47" s="41" t="s">
        <v>108</v>
      </c>
      <c r="D47" s="42">
        <v>5584.078</v>
      </c>
      <c r="E47" s="43">
        <v>4600.8</v>
      </c>
      <c r="F47" s="44">
        <v>4600.8</v>
      </c>
      <c r="G47" s="45">
        <f>498.8196+7+1272.98444+2.68+7.6+2120.7027+20.93226</f>
        <v>3930.7189999999996</v>
      </c>
      <c r="H47" s="46">
        <f t="shared" si="1"/>
        <v>85.43555468614153</v>
      </c>
      <c r="I47" s="49"/>
      <c r="J47" s="49">
        <v>1150.301</v>
      </c>
      <c r="K47" s="46" t="s">
        <v>105</v>
      </c>
      <c r="L47" s="46">
        <v>1117.6796</v>
      </c>
      <c r="M47" s="46">
        <v>1097.9</v>
      </c>
      <c r="N47" s="24">
        <f t="shared" si="0"/>
        <v>98.23029784206496</v>
      </c>
      <c r="O47" s="61" t="s">
        <v>109</v>
      </c>
      <c r="P47"/>
    </row>
    <row r="48" spans="1:16" ht="31.5">
      <c r="A48" s="16">
        <v>24</v>
      </c>
      <c r="B48" s="40" t="s">
        <v>110</v>
      </c>
      <c r="C48" s="41" t="s">
        <v>111</v>
      </c>
      <c r="D48" s="42">
        <v>26649.035</v>
      </c>
      <c r="E48" s="43">
        <v>10399.2</v>
      </c>
      <c r="F48" s="44">
        <v>361.581</v>
      </c>
      <c r="G48" s="45">
        <v>361.581</v>
      </c>
      <c r="H48" s="46">
        <f t="shared" si="1"/>
        <v>100</v>
      </c>
      <c r="I48" s="49"/>
      <c r="J48" s="49">
        <v>12150</v>
      </c>
      <c r="K48" s="46" t="s">
        <v>105</v>
      </c>
      <c r="L48" s="46">
        <v>1696.527</v>
      </c>
      <c r="M48" s="46">
        <v>1678.59852</v>
      </c>
      <c r="N48" s="24">
        <f t="shared" si="0"/>
        <v>98.94322459943166</v>
      </c>
      <c r="O48" s="61" t="s">
        <v>112</v>
      </c>
      <c r="P48"/>
    </row>
    <row r="49" spans="2:16" ht="15">
      <c r="B49"/>
      <c r="C49"/>
      <c r="D49"/>
      <c r="E49"/>
      <c r="I49" s="79"/>
      <c r="J49" s="79"/>
      <c r="K49" s="8"/>
      <c r="L49" s="79"/>
      <c r="M49" s="79"/>
      <c r="N49" s="79"/>
      <c r="O49" s="80"/>
      <c r="P49" s="8"/>
    </row>
    <row r="50" spans="2:15" ht="15" customHeight="1">
      <c r="B50" s="92" t="s">
        <v>113</v>
      </c>
      <c r="C50" s="92"/>
      <c r="D50" s="92"/>
      <c r="E50" s="92"/>
      <c r="I50" s="79"/>
      <c r="J50" s="79"/>
      <c r="K50" s="8"/>
      <c r="L50" s="79"/>
      <c r="M50" s="79"/>
      <c r="N50" s="93" t="s">
        <v>114</v>
      </c>
      <c r="O50" s="93"/>
    </row>
  </sheetData>
  <sheetProtection selectLockedCells="1" selectUnlockedCells="1"/>
  <mergeCells count="130">
    <mergeCell ref="A34:B34"/>
    <mergeCell ref="A36:B36"/>
    <mergeCell ref="A39:B39"/>
    <mergeCell ref="A41:B41"/>
    <mergeCell ref="B50:E50"/>
    <mergeCell ref="N50:O50"/>
    <mergeCell ref="HH32:HI32"/>
    <mergeCell ref="HJ32:HK32"/>
    <mergeCell ref="HL32:HM32"/>
    <mergeCell ref="HN32:HO32"/>
    <mergeCell ref="HP32:HQ32"/>
    <mergeCell ref="HR32:HS32"/>
    <mergeCell ref="GV32:GW32"/>
    <mergeCell ref="GX32:GY32"/>
    <mergeCell ref="GZ32:HA32"/>
    <mergeCell ref="HB32:HC32"/>
    <mergeCell ref="HD32:HE32"/>
    <mergeCell ref="HF32:HG32"/>
    <mergeCell ref="GJ32:GK32"/>
    <mergeCell ref="GL32:GM32"/>
    <mergeCell ref="GN32:GO32"/>
    <mergeCell ref="GP32:GQ32"/>
    <mergeCell ref="GR32:GS32"/>
    <mergeCell ref="GT32:GU32"/>
    <mergeCell ref="FX32:FY32"/>
    <mergeCell ref="FZ32:GA32"/>
    <mergeCell ref="GB32:GC32"/>
    <mergeCell ref="GD32:GE32"/>
    <mergeCell ref="GF32:GG32"/>
    <mergeCell ref="GH32:GI32"/>
    <mergeCell ref="FL32:FM32"/>
    <mergeCell ref="FN32:FO32"/>
    <mergeCell ref="FP32:FQ32"/>
    <mergeCell ref="FR32:FS32"/>
    <mergeCell ref="FT32:FU32"/>
    <mergeCell ref="FV32:FW32"/>
    <mergeCell ref="EZ32:FA32"/>
    <mergeCell ref="FB32:FC32"/>
    <mergeCell ref="FD32:FE32"/>
    <mergeCell ref="FF32:FG32"/>
    <mergeCell ref="FH32:FI32"/>
    <mergeCell ref="FJ32:FK32"/>
    <mergeCell ref="EN32:EO32"/>
    <mergeCell ref="EP32:EQ32"/>
    <mergeCell ref="ER32:ES32"/>
    <mergeCell ref="ET32:EU32"/>
    <mergeCell ref="EV32:EW32"/>
    <mergeCell ref="EX32:EY32"/>
    <mergeCell ref="EB32:EC32"/>
    <mergeCell ref="ED32:EE32"/>
    <mergeCell ref="EF32:EG32"/>
    <mergeCell ref="EH32:EI32"/>
    <mergeCell ref="EJ32:EK32"/>
    <mergeCell ref="EL32:EM32"/>
    <mergeCell ref="DP32:DQ32"/>
    <mergeCell ref="DR32:DS32"/>
    <mergeCell ref="DT32:DU32"/>
    <mergeCell ref="DV32:DW32"/>
    <mergeCell ref="DX32:DY32"/>
    <mergeCell ref="DZ32:EA32"/>
    <mergeCell ref="DD32:DE32"/>
    <mergeCell ref="DF32:DG32"/>
    <mergeCell ref="DH32:DI32"/>
    <mergeCell ref="DJ32:DK32"/>
    <mergeCell ref="DL32:DM32"/>
    <mergeCell ref="DN32:DO32"/>
    <mergeCell ref="CR32:CS32"/>
    <mergeCell ref="CT32:CU32"/>
    <mergeCell ref="CV32:CW32"/>
    <mergeCell ref="CX32:CY32"/>
    <mergeCell ref="CZ32:DA32"/>
    <mergeCell ref="DB32:DC32"/>
    <mergeCell ref="CF32:CG32"/>
    <mergeCell ref="CH32:CI32"/>
    <mergeCell ref="CJ32:CK32"/>
    <mergeCell ref="CL32:CM32"/>
    <mergeCell ref="CN32:CO32"/>
    <mergeCell ref="CP32:CQ32"/>
    <mergeCell ref="BT32:BU32"/>
    <mergeCell ref="BV32:BW32"/>
    <mergeCell ref="BX32:BY32"/>
    <mergeCell ref="BZ32:CA32"/>
    <mergeCell ref="CB32:CC32"/>
    <mergeCell ref="CD32:CE32"/>
    <mergeCell ref="BH32:BI32"/>
    <mergeCell ref="BJ32:BK32"/>
    <mergeCell ref="BL32:BM32"/>
    <mergeCell ref="BN32:BO32"/>
    <mergeCell ref="BP32:BQ32"/>
    <mergeCell ref="BR32:BS32"/>
    <mergeCell ref="AV32:AW32"/>
    <mergeCell ref="AX32:AY32"/>
    <mergeCell ref="AZ32:BA32"/>
    <mergeCell ref="BB32:BC32"/>
    <mergeCell ref="BD32:BE32"/>
    <mergeCell ref="BF32:BG32"/>
    <mergeCell ref="AJ32:AK32"/>
    <mergeCell ref="AL32:AM32"/>
    <mergeCell ref="AN32:AO32"/>
    <mergeCell ref="AP32:AQ32"/>
    <mergeCell ref="AR32:AS32"/>
    <mergeCell ref="AT32:AU32"/>
    <mergeCell ref="A19:B19"/>
    <mergeCell ref="A21:B21"/>
    <mergeCell ref="A25:B25"/>
    <mergeCell ref="A28:B28"/>
    <mergeCell ref="A30:B30"/>
    <mergeCell ref="A32:B32"/>
    <mergeCell ref="O5:O6"/>
    <mergeCell ref="A8:B8"/>
    <mergeCell ref="A9:E9"/>
    <mergeCell ref="A10:B10"/>
    <mergeCell ref="A14:B14"/>
    <mergeCell ref="A16:B16"/>
    <mergeCell ref="H5:H6"/>
    <mergeCell ref="I5:J5"/>
    <mergeCell ref="K5:K6"/>
    <mergeCell ref="L5:L6"/>
    <mergeCell ref="M5:M6"/>
    <mergeCell ref="N5:N6"/>
    <mergeCell ref="A1:O1"/>
    <mergeCell ref="A2:O2"/>
    <mergeCell ref="B3:O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5" right="0.39375" top="0.5902777777777778" bottom="0.39375" header="0.5118055555555555" footer="0.5118055555555555"/>
  <pageSetup fitToHeight="99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Колодій Галина Степанівна</dc:creator>
  <cp:keywords/>
  <dc:description/>
  <cp:lastModifiedBy>1900-bilgi</cp:lastModifiedBy>
  <cp:lastPrinted>2021-09-03T13:20:44Z</cp:lastPrinted>
  <dcterms:created xsi:type="dcterms:W3CDTF">2021-05-14T04:55:35Z</dcterms:created>
  <dcterms:modified xsi:type="dcterms:W3CDTF">2021-10-01T09:27:11Z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